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2120" windowHeight="7875"/>
  </bookViews>
  <sheets>
    <sheet name="planilla" sheetId="1" r:id="rId1"/>
    <sheet name="referencias" sheetId="2" r:id="rId2"/>
  </sheets>
  <calcPr calcId="145621"/>
</workbook>
</file>

<file path=xl/calcChain.xml><?xml version="1.0" encoding="utf-8"?>
<calcChain xmlns="http://schemas.openxmlformats.org/spreadsheetml/2006/main">
  <c r="E29" i="1" l="1"/>
  <c r="F6" i="1" l="1"/>
  <c r="E6" i="1"/>
  <c r="F49" i="1"/>
  <c r="F42" i="1"/>
  <c r="F43" i="1"/>
  <c r="F46" i="1"/>
  <c r="E57" i="1" s="1"/>
  <c r="F47" i="1"/>
  <c r="E58" i="1" s="1"/>
  <c r="F44" i="1"/>
  <c r="G29" i="1"/>
  <c r="E18" i="2"/>
  <c r="E38" i="1" s="1"/>
  <c r="G38" i="1" s="1"/>
  <c r="E14" i="2"/>
  <c r="E18" i="1" s="1"/>
  <c r="E13" i="2"/>
  <c r="G13" i="2" s="1"/>
  <c r="E9" i="1" s="1"/>
  <c r="E12" i="2"/>
  <c r="G12" i="2" s="1"/>
  <c r="E8" i="1" s="1"/>
  <c r="E17" i="2"/>
  <c r="E34" i="1" s="1"/>
  <c r="G34" i="1" s="1"/>
  <c r="E16" i="2"/>
  <c r="E35" i="1" s="1"/>
  <c r="G35" i="1" s="1"/>
  <c r="E15" i="2"/>
  <c r="E36" i="1" s="1"/>
  <c r="G36" i="1" s="1"/>
  <c r="E11" i="2"/>
  <c r="I11" i="2" s="1"/>
  <c r="E26" i="1" s="1"/>
  <c r="E10" i="2"/>
  <c r="I10" i="2" s="1"/>
  <c r="E25" i="1" s="1"/>
  <c r="E5" i="2"/>
  <c r="I5" i="2" s="1"/>
  <c r="E24" i="1" s="1"/>
  <c r="E9" i="2"/>
  <c r="I9" i="2" s="1"/>
  <c r="E23" i="1" s="1"/>
  <c r="I3" i="2"/>
  <c r="E22" i="1" s="1"/>
  <c r="E8" i="2"/>
  <c r="G8" i="2" s="1"/>
  <c r="E15" i="1" s="1"/>
  <c r="G3" i="2"/>
  <c r="E10" i="1" s="1"/>
  <c r="E6" i="2"/>
  <c r="G6" i="2" s="1"/>
  <c r="E12" i="1" s="1"/>
  <c r="E7" i="2"/>
  <c r="G7" i="2" s="1"/>
  <c r="E13" i="1" s="1"/>
  <c r="E4" i="2"/>
  <c r="G4" i="2" s="1"/>
  <c r="E11" i="1" s="1"/>
  <c r="F27" i="1"/>
  <c r="D42" i="1" s="1"/>
  <c r="F16" i="1"/>
  <c r="G39" i="1"/>
  <c r="D46" i="1"/>
  <c r="F20" i="1"/>
  <c r="D44" i="1"/>
  <c r="D43" i="1"/>
  <c r="D57" i="1"/>
  <c r="E31" i="1"/>
  <c r="G31" i="1" s="1"/>
  <c r="E30" i="1"/>
  <c r="G30" i="1" s="1"/>
  <c r="D47" i="1"/>
  <c r="D58" i="1"/>
  <c r="G47" i="1" l="1"/>
  <c r="G5" i="2"/>
  <c r="E14" i="1" s="1"/>
  <c r="E16" i="1" s="1"/>
  <c r="F58" i="1"/>
  <c r="H42" i="1"/>
  <c r="G46" i="1"/>
  <c r="F57" i="1"/>
  <c r="H43" i="1"/>
  <c r="E27" i="1"/>
  <c r="G27" i="1" s="1"/>
  <c r="H44" i="1"/>
  <c r="G6" i="1"/>
  <c r="E32" i="1"/>
  <c r="G32" i="1" s="1"/>
  <c r="H63" i="1"/>
  <c r="D49" i="1"/>
  <c r="G49" i="1" s="1"/>
  <c r="H55" i="1" l="1"/>
  <c r="F59" i="1"/>
  <c r="E65" i="1" s="1"/>
  <c r="F51" i="1"/>
  <c r="G51" i="1" s="1"/>
  <c r="F50" i="1"/>
  <c r="F52" i="1" s="1"/>
  <c r="G52" i="1" s="1"/>
  <c r="G65" i="1"/>
  <c r="G68" i="1"/>
  <c r="E19" i="1"/>
  <c r="E20" i="1" s="1"/>
  <c r="G20" i="1" s="1"/>
  <c r="G16" i="1"/>
  <c r="E68" i="1" l="1"/>
  <c r="G50" i="1"/>
  <c r="G55" i="1" s="1"/>
  <c r="H62" i="1" l="1"/>
  <c r="H64" i="1" s="1"/>
  <c r="H56" i="1"/>
  <c r="H59" i="1" s="1"/>
  <c r="H60" i="1" s="1"/>
  <c r="F65" i="1" l="1"/>
  <c r="F68" i="1"/>
  <c r="H68" i="1" s="1"/>
</calcChain>
</file>

<file path=xl/sharedStrings.xml><?xml version="1.0" encoding="utf-8"?>
<sst xmlns="http://schemas.openxmlformats.org/spreadsheetml/2006/main" count="141" uniqueCount="134">
  <si>
    <t>PLANTEO DE CRIA SOBRE CAMPO ALQUILADO</t>
  </si>
  <si>
    <t xml:space="preserve">SANIDAD : </t>
  </si>
  <si>
    <t>VACAS</t>
  </si>
  <si>
    <t xml:space="preserve">SANIDAD </t>
  </si>
  <si>
    <t>TERNEROS</t>
  </si>
  <si>
    <t xml:space="preserve">GASTOS DE VENTA </t>
  </si>
  <si>
    <t xml:space="preserve">CAPITAL INVERTIDO     </t>
  </si>
  <si>
    <t>RESULTADO EXPLOTACION</t>
  </si>
  <si>
    <t>kg./ cab.</t>
  </si>
  <si>
    <t>precio vta.</t>
  </si>
  <si>
    <t>hectareas</t>
  </si>
  <si>
    <t>kilos/ha</t>
  </si>
  <si>
    <t xml:space="preserve">indice </t>
  </si>
  <si>
    <t>kg.producidos</t>
  </si>
  <si>
    <t xml:space="preserve">variable hipotetica sobre este ejemplo aplicando  </t>
  </si>
  <si>
    <t>TOROS</t>
  </si>
  <si>
    <t>SANIDAD :</t>
  </si>
  <si>
    <t>%</t>
  </si>
  <si>
    <t>COSTO DEL KILO PRODUCIDO</t>
  </si>
  <si>
    <t>Tacto</t>
  </si>
  <si>
    <t>Sangrado</t>
  </si>
  <si>
    <t>Carbunclo</t>
  </si>
  <si>
    <t>Vac. Reproductiva</t>
  </si>
  <si>
    <t>Cobre</t>
  </si>
  <si>
    <t>Moscas de los cuernos 3 ds</t>
  </si>
  <si>
    <t>Raspaje y analisis laboratorio</t>
  </si>
  <si>
    <t>Aftosa 2 ds</t>
  </si>
  <si>
    <t>Mancha</t>
  </si>
  <si>
    <t>Vacaciones</t>
  </si>
  <si>
    <t>SUELDOS</t>
  </si>
  <si>
    <t>sueldo mensual</t>
  </si>
  <si>
    <t>MANTENIMIENTO</t>
  </si>
  <si>
    <t xml:space="preserve">molinos </t>
  </si>
  <si>
    <t>aguadas rellenado anual</t>
  </si>
  <si>
    <t>GASTOS</t>
  </si>
  <si>
    <t>1 visita x sem. del prod.  eq. 30 lts gas oil</t>
  </si>
  <si>
    <t xml:space="preserve">PRODUCCION VENTA </t>
  </si>
  <si>
    <t xml:space="preserve">2 toros  </t>
  </si>
  <si>
    <t>impuesto al cheque</t>
  </si>
  <si>
    <t>ingresos brutos</t>
  </si>
  <si>
    <t>guias de ventas</t>
  </si>
  <si>
    <t xml:space="preserve">contador liq sueldos y impuestos </t>
  </si>
  <si>
    <t>Aftosa, Carbunclo, desp, cobre, moscas 3 ds</t>
  </si>
  <si>
    <t>valor</t>
  </si>
  <si>
    <t>a vender</t>
  </si>
  <si>
    <t xml:space="preserve">TOTAL SANIDAD VACAS </t>
  </si>
  <si>
    <t>Toros</t>
  </si>
  <si>
    <t>Vacas</t>
  </si>
  <si>
    <t>% destete</t>
  </si>
  <si>
    <t xml:space="preserve"> vacas de descarte</t>
  </si>
  <si>
    <t xml:space="preserve"> toros descarte</t>
  </si>
  <si>
    <t xml:space="preserve"> terneros </t>
  </si>
  <si>
    <t>vacas preñadas(mort. y descart)</t>
  </si>
  <si>
    <t>precio und.</t>
  </si>
  <si>
    <t>cantidades</t>
  </si>
  <si>
    <t xml:space="preserve">Campo 425 hect. Receptividad 0,7 eq/vc/het. Venta de vacas viejas y vacias, reposicion vacas descarte y mortandad 1% </t>
  </si>
  <si>
    <t xml:space="preserve">con vacas o vaqullonas preñadas, el % de destete es sobre el total de vacas preñadas en el campo y las repuestas </t>
  </si>
  <si>
    <t xml:space="preserve">Gastos y </t>
  </si>
  <si>
    <t>Reposicion</t>
  </si>
  <si>
    <t>Ingresos</t>
  </si>
  <si>
    <t>x ventas</t>
  </si>
  <si>
    <t>ALQUILER</t>
  </si>
  <si>
    <t>kg x mes x het.</t>
  </si>
  <si>
    <t>sobre cap.</t>
  </si>
  <si>
    <t>mantenimiento</t>
  </si>
  <si>
    <t xml:space="preserve">total kg terneros vendidos                                                          </t>
  </si>
  <si>
    <t xml:space="preserve">gasto totales y mantenimiento del plantel de cria y explotacion    </t>
  </si>
  <si>
    <t xml:space="preserve">CAPITAL TOTAL INVERTIDO EN ANIMALES                           </t>
  </si>
  <si>
    <t>Aftosa</t>
  </si>
  <si>
    <t>Final c/iva</t>
  </si>
  <si>
    <t>Chelcop  de Rio de Janeiro</t>
  </si>
  <si>
    <t xml:space="preserve">carbunclo </t>
  </si>
  <si>
    <t>125 ds</t>
  </si>
  <si>
    <t>vac reproductiva</t>
  </si>
  <si>
    <t>mosca de los cuernos</t>
  </si>
  <si>
    <t>50 Ds</t>
  </si>
  <si>
    <t>castrada</t>
  </si>
  <si>
    <t>Dectomax</t>
  </si>
  <si>
    <t>caravana</t>
  </si>
  <si>
    <t>vacas</t>
  </si>
  <si>
    <t>cobre</t>
  </si>
  <si>
    <t>terneros</t>
  </si>
  <si>
    <t>Producto laboratorio</t>
  </si>
  <si>
    <t xml:space="preserve">Ivermectina Over </t>
  </si>
  <si>
    <t>Precio arrendamiento</t>
  </si>
  <si>
    <t>indice arrendamiento mercado de liniers</t>
  </si>
  <si>
    <t>precio vacas descarte</t>
  </si>
  <si>
    <t>precio toros descarte</t>
  </si>
  <si>
    <t>alambre alta resistencia</t>
  </si>
  <si>
    <t>1000 metros</t>
  </si>
  <si>
    <t>rellenado aguadas</t>
  </si>
  <si>
    <t>equivalente 200 lts gas oil</t>
  </si>
  <si>
    <t>equivalente 160 lts gas oil</t>
  </si>
  <si>
    <t xml:space="preserve">visita a campo </t>
  </si>
  <si>
    <t>equivalente 30 lts gas oil</t>
  </si>
  <si>
    <t>Terneros macho y hembra</t>
  </si>
  <si>
    <t>Toros nuevos p servicio</t>
  </si>
  <si>
    <t>raspaje toros</t>
  </si>
  <si>
    <t>con laboratorio</t>
  </si>
  <si>
    <t>tacto</t>
  </si>
  <si>
    <t>sangrado</t>
  </si>
  <si>
    <t xml:space="preserve">promedio mensual de venta  vacas liniers todas las categorias </t>
  </si>
  <si>
    <t>promedio mensual de ventas mercado de liniers</t>
  </si>
  <si>
    <t xml:space="preserve"> </t>
  </si>
  <si>
    <t>vioabortogen</t>
  </si>
  <si>
    <t>Aguinaldo 2 medios</t>
  </si>
  <si>
    <t>cargas sociales y art.</t>
  </si>
  <si>
    <t>Aftosa 1 dosis</t>
  </si>
  <si>
    <t>TOTAL SANIDAD TOROS 10</t>
  </si>
  <si>
    <t>Castrada (dectonax a los machos x bichera)</t>
  </si>
  <si>
    <t>TOTAL SANIDAD TERNEROS 255</t>
  </si>
  <si>
    <t>alambrado 2 rollos alambre al año</t>
  </si>
  <si>
    <t>cabezas</t>
  </si>
  <si>
    <t>comisiones 3% sobre compras y ventas</t>
  </si>
  <si>
    <t>RENTABILIDAD SOBRE EL CAPITAL INVERTIDO</t>
  </si>
  <si>
    <t>rentabilidad sobre capital invertido aspirada en %</t>
  </si>
  <si>
    <t>rentabilidad</t>
  </si>
  <si>
    <t>gastos por</t>
  </si>
  <si>
    <t>REPOSICION</t>
  </si>
  <si>
    <t>Desparasitada</t>
  </si>
  <si>
    <t>caravanas Senasa</t>
  </si>
  <si>
    <t>reparacion molinos</t>
  </si>
  <si>
    <t>Gastos de guia y Senasa por cabezas</t>
  </si>
  <si>
    <t>promedio de ventas de remates entre surcos y  corrales</t>
  </si>
  <si>
    <t>170/190 kg</t>
  </si>
  <si>
    <t>vaquillonas c/ garantia preñ</t>
  </si>
  <si>
    <t>guia</t>
  </si>
  <si>
    <t>Roytac Rio de Janeiro</t>
  </si>
  <si>
    <t>Sueldo peón general</t>
  </si>
  <si>
    <t>Caravana Senasa</t>
  </si>
  <si>
    <t>presentación</t>
  </si>
  <si>
    <t>fortín</t>
  </si>
  <si>
    <t>dte</t>
  </si>
  <si>
    <t>Triple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</si>
</sst>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0"/>
      <name val="Arial"/>
    </font>
    <font>
      <b/>
      <i/>
      <sz val="10"/>
      <name val="Arial"/>
      <family val="2"/>
    </font>
    <font>
      <sz val="9"/>
      <name val="Arial"/>
    </font>
    <font>
      <sz val="10"/>
      <color indexed="15"/>
      <name val="Arial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15"/>
      <name val="Arial"/>
      <family val="2"/>
    </font>
    <font>
      <b/>
      <sz val="8"/>
      <name val="Arial"/>
      <family val="2"/>
    </font>
    <font>
      <sz val="10"/>
      <color indexed="53"/>
      <name val="Arial"/>
    </font>
    <font>
      <sz val="10"/>
      <color indexed="50"/>
      <name val="Arial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569B8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2" fontId="0" fillId="0" borderId="6" xfId="0" applyNumberFormat="1" applyBorder="1"/>
    <xf numFmtId="0" fontId="0" fillId="0" borderId="6" xfId="0" applyBorder="1"/>
    <xf numFmtId="2" fontId="4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4" fillId="0" borderId="12" xfId="0" applyNumberFormat="1" applyFont="1" applyBorder="1"/>
    <xf numFmtId="2" fontId="1" fillId="0" borderId="12" xfId="0" applyNumberFormat="1" applyFont="1" applyBorder="1"/>
    <xf numFmtId="0" fontId="4" fillId="0" borderId="6" xfId="0" applyFont="1" applyBorder="1"/>
    <xf numFmtId="2" fontId="0" fillId="0" borderId="0" xfId="0" applyNumberFormat="1"/>
    <xf numFmtId="0" fontId="0" fillId="0" borderId="13" xfId="0" applyFill="1" applyBorder="1"/>
    <xf numFmtId="10" fontId="0" fillId="0" borderId="14" xfId="0" applyNumberFormat="1" applyFill="1" applyBorder="1"/>
    <xf numFmtId="0" fontId="0" fillId="2" borderId="5" xfId="0" applyFill="1" applyBorder="1"/>
    <xf numFmtId="0" fontId="0" fillId="3" borderId="15" xfId="0" applyFill="1" applyBorder="1" applyAlignment="1">
      <alignment horizontal="center"/>
    </xf>
    <xf numFmtId="2" fontId="3" fillId="0" borderId="5" xfId="0" applyNumberFormat="1" applyFont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0" fontId="6" fillId="0" borderId="4" xfId="0" applyFont="1" applyFill="1" applyBorder="1"/>
    <xf numFmtId="0" fontId="0" fillId="0" borderId="4" xfId="0" applyFill="1" applyBorder="1"/>
    <xf numFmtId="2" fontId="0" fillId="0" borderId="16" xfId="0" applyNumberFormat="1" applyFill="1" applyBorder="1"/>
    <xf numFmtId="0" fontId="0" fillId="0" borderId="16" xfId="0" applyFill="1" applyBorder="1"/>
    <xf numFmtId="2" fontId="0" fillId="2" borderId="3" xfId="0" applyNumberFormat="1" applyFill="1" applyBorder="1"/>
    <xf numFmtId="0" fontId="0" fillId="2" borderId="3" xfId="0" applyFill="1" applyBorder="1"/>
    <xf numFmtId="2" fontId="0" fillId="2" borderId="4" xfId="0" applyNumberFormat="1" applyFill="1" applyBorder="1"/>
    <xf numFmtId="0" fontId="0" fillId="2" borderId="4" xfId="0" applyFill="1" applyBorder="1"/>
    <xf numFmtId="0" fontId="3" fillId="0" borderId="17" xfId="0" applyFont="1" applyFill="1" applyBorder="1"/>
    <xf numFmtId="0" fontId="7" fillId="2" borderId="4" xfId="0" applyFont="1" applyFill="1" applyBorder="1"/>
    <xf numFmtId="0" fontId="9" fillId="2" borderId="5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2" fontId="9" fillId="2" borderId="16" xfId="0" applyNumberFormat="1" applyFont="1" applyFill="1" applyBorder="1"/>
    <xf numFmtId="0" fontId="8" fillId="0" borderId="13" xfId="0" applyFont="1" applyFill="1" applyBorder="1"/>
    <xf numFmtId="0" fontId="3" fillId="0" borderId="4" xfId="0" applyFont="1" applyBorder="1" applyAlignment="1"/>
    <xf numFmtId="0" fontId="1" fillId="0" borderId="1" xfId="0" applyFont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0" fillId="0" borderId="0" xfId="0" applyFill="1"/>
    <xf numFmtId="0" fontId="0" fillId="3" borderId="18" xfId="0" applyFill="1" applyBorder="1" applyAlignment="1">
      <alignment horizontal="center"/>
    </xf>
    <xf numFmtId="10" fontId="3" fillId="3" borderId="19" xfId="0" applyNumberFormat="1" applyFont="1" applyFill="1" applyBorder="1" applyAlignment="1">
      <alignment horizontal="center"/>
    </xf>
    <xf numFmtId="10" fontId="3" fillId="3" borderId="20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2" xfId="0" applyFont="1" applyBorder="1"/>
    <xf numFmtId="9" fontId="0" fillId="4" borderId="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2" fontId="4" fillId="0" borderId="24" xfId="0" applyNumberFormat="1" applyFont="1" applyBorder="1"/>
    <xf numFmtId="0" fontId="0" fillId="0" borderId="24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2" fontId="4" fillId="0" borderId="5" xfId="0" applyNumberFormat="1" applyFont="1" applyBorder="1"/>
    <xf numFmtId="0" fontId="0" fillId="0" borderId="5" xfId="0" applyBorder="1"/>
    <xf numFmtId="0" fontId="0" fillId="0" borderId="23" xfId="0" applyBorder="1" applyAlignment="1">
      <alignment horizontal="center"/>
    </xf>
    <xf numFmtId="1" fontId="0" fillId="0" borderId="2" xfId="0" applyNumberFormat="1" applyBorder="1"/>
    <xf numFmtId="0" fontId="3" fillId="0" borderId="25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7" xfId="0" applyFont="1" applyBorder="1"/>
    <xf numFmtId="0" fontId="0" fillId="3" borderId="27" xfId="0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11" fillId="3" borderId="19" xfId="0" applyFont="1" applyFill="1" applyBorder="1"/>
    <xf numFmtId="0" fontId="11" fillId="3" borderId="29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2" fontId="3" fillId="0" borderId="4" xfId="0" applyNumberFormat="1" applyFont="1" applyFill="1" applyBorder="1"/>
    <xf numFmtId="0" fontId="10" fillId="2" borderId="13" xfId="0" applyFont="1" applyFill="1" applyBorder="1"/>
    <xf numFmtId="0" fontId="12" fillId="0" borderId="0" xfId="0" applyFont="1"/>
    <xf numFmtId="0" fontId="13" fillId="0" borderId="0" xfId="0" applyFont="1"/>
    <xf numFmtId="0" fontId="14" fillId="5" borderId="4" xfId="0" applyFont="1" applyFill="1" applyBorder="1"/>
    <xf numFmtId="2" fontId="14" fillId="5" borderId="16" xfId="0" applyNumberFormat="1" applyFont="1" applyFill="1" applyBorder="1"/>
    <xf numFmtId="0" fontId="14" fillId="5" borderId="16" xfId="0" applyNumberFormat="1" applyFont="1" applyFill="1" applyBorder="1"/>
    <xf numFmtId="0" fontId="15" fillId="5" borderId="30" xfId="0" applyNumberFormat="1" applyFont="1" applyFill="1" applyBorder="1" applyAlignment="1">
      <alignment horizontal="center"/>
    </xf>
    <xf numFmtId="1" fontId="15" fillId="5" borderId="30" xfId="0" applyNumberFormat="1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2" fontId="0" fillId="0" borderId="5" xfId="0" applyNumberFormat="1" applyBorder="1"/>
    <xf numFmtId="0" fontId="0" fillId="0" borderId="31" xfId="0" applyBorder="1"/>
    <xf numFmtId="2" fontId="0" fillId="0" borderId="31" xfId="0" applyNumberFormat="1" applyBorder="1"/>
    <xf numFmtId="1" fontId="0" fillId="0" borderId="6" xfId="0" applyNumberFormat="1" applyBorder="1"/>
    <xf numFmtId="0" fontId="0" fillId="0" borderId="12" xfId="0" applyBorder="1"/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32" xfId="0" applyBorder="1"/>
    <xf numFmtId="2" fontId="0" fillId="0" borderId="32" xfId="0" applyNumberFormat="1" applyBorder="1"/>
    <xf numFmtId="0" fontId="0" fillId="0" borderId="11" xfId="0" applyBorder="1"/>
    <xf numFmtId="0" fontId="0" fillId="0" borderId="33" xfId="0" applyBorder="1"/>
    <xf numFmtId="2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2" fontId="3" fillId="5" borderId="16" xfId="0" applyNumberFormat="1" applyFont="1" applyFill="1" applyBorder="1"/>
    <xf numFmtId="10" fontId="3" fillId="5" borderId="14" xfId="0" applyNumberFormat="1" applyFont="1" applyFill="1" applyBorder="1"/>
    <xf numFmtId="2" fontId="0" fillId="4" borderId="31" xfId="0" applyNumberFormat="1" applyFill="1" applyBorder="1"/>
    <xf numFmtId="2" fontId="0" fillId="4" borderId="6" xfId="0" applyNumberFormat="1" applyFill="1" applyBorder="1"/>
    <xf numFmtId="164" fontId="0" fillId="4" borderId="6" xfId="0" applyNumberFormat="1" applyFill="1" applyBorder="1"/>
    <xf numFmtId="0" fontId="0" fillId="0" borderId="37" xfId="0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12" xfId="0" applyNumberFormat="1" applyBorder="1"/>
    <xf numFmtId="2" fontId="0" fillId="4" borderId="37" xfId="0" applyNumberFormat="1" applyFill="1" applyBorder="1"/>
    <xf numFmtId="0" fontId="0" fillId="4" borderId="6" xfId="0" applyFill="1" applyBorder="1"/>
    <xf numFmtId="3" fontId="0" fillId="4" borderId="6" xfId="0" applyNumberFormat="1" applyFill="1" applyBorder="1"/>
    <xf numFmtId="0" fontId="16" fillId="0" borderId="0" xfId="0" applyFont="1"/>
    <xf numFmtId="14" fontId="8" fillId="6" borderId="0" xfId="0" applyNumberFormat="1" applyFont="1" applyFill="1" applyAlignment="1">
      <alignment horizontal="center"/>
    </xf>
    <xf numFmtId="0" fontId="16" fillId="6" borderId="0" xfId="0" applyFont="1" applyFill="1"/>
    <xf numFmtId="0" fontId="5" fillId="6" borderId="0" xfId="0" applyFont="1" applyFill="1"/>
    <xf numFmtId="0" fontId="16" fillId="6" borderId="2" xfId="0" applyFont="1" applyFill="1" applyBorder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6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20" workbookViewId="0">
      <selection activeCell="K58" sqref="K58"/>
    </sheetView>
  </sheetViews>
  <sheetFormatPr baseColWidth="10" defaultRowHeight="12.75" x14ac:dyDescent="0.2"/>
  <cols>
    <col min="1" max="1" width="15.85546875" customWidth="1"/>
    <col min="2" max="2" width="3.85546875" customWidth="1"/>
    <col min="3" max="3" width="24.28515625" customWidth="1"/>
    <col min="4" max="4" width="10.28515625" customWidth="1"/>
    <col min="5" max="5" width="10.42578125" customWidth="1"/>
    <col min="6" max="6" width="11" customWidth="1"/>
    <col min="7" max="7" width="12.5703125" customWidth="1"/>
    <col min="8" max="8" width="12.85546875" customWidth="1"/>
    <col min="10" max="10" width="19.85546875" customWidth="1"/>
  </cols>
  <sheetData>
    <row r="1" spans="1:10" ht="16.5" customHeight="1" x14ac:dyDescent="0.25">
      <c r="A1" s="122">
        <v>43586</v>
      </c>
      <c r="B1" s="123"/>
      <c r="C1" s="124" t="s">
        <v>0</v>
      </c>
      <c r="D1" s="124"/>
      <c r="E1" s="124"/>
      <c r="F1" s="124"/>
      <c r="G1" s="123"/>
      <c r="H1" s="123"/>
    </row>
    <row r="2" spans="1:10" ht="11.25" customHeight="1" x14ac:dyDescent="0.2">
      <c r="A2" s="125" t="s">
        <v>55</v>
      </c>
      <c r="B2" s="125"/>
      <c r="C2" s="125"/>
      <c r="D2" s="125"/>
      <c r="E2" s="125"/>
      <c r="F2" s="123"/>
      <c r="G2" s="123"/>
      <c r="H2" s="123"/>
    </row>
    <row r="3" spans="1:10" ht="11.25" customHeight="1" x14ac:dyDescent="0.2">
      <c r="A3" s="123" t="s">
        <v>56</v>
      </c>
      <c r="B3" s="123"/>
      <c r="C3" s="123"/>
      <c r="D3" s="123"/>
      <c r="E3" s="123"/>
      <c r="F3" s="123"/>
      <c r="G3" s="123"/>
      <c r="H3" s="123"/>
    </row>
    <row r="4" spans="1:10" ht="11.25" customHeight="1" x14ac:dyDescent="0.2">
      <c r="F4" s="3"/>
      <c r="G4" s="72" t="s">
        <v>57</v>
      </c>
      <c r="H4" s="72" t="s">
        <v>59</v>
      </c>
    </row>
    <row r="5" spans="1:10" ht="11.25" customHeight="1" x14ac:dyDescent="0.2">
      <c r="A5" s="15"/>
      <c r="B5" s="15"/>
      <c r="C5" s="15"/>
      <c r="D5" s="74" t="s">
        <v>10</v>
      </c>
      <c r="E5" s="74" t="s">
        <v>11</v>
      </c>
      <c r="F5" s="74" t="s">
        <v>12</v>
      </c>
      <c r="G5" s="73" t="s">
        <v>58</v>
      </c>
      <c r="H5" s="73" t="s">
        <v>60</v>
      </c>
    </row>
    <row r="6" spans="1:10" ht="11.25" customHeight="1" x14ac:dyDescent="0.2">
      <c r="A6" s="4" t="s">
        <v>61</v>
      </c>
      <c r="B6" s="75">
        <v>5</v>
      </c>
      <c r="C6" s="66" t="s">
        <v>62</v>
      </c>
      <c r="D6" s="67">
        <v>425</v>
      </c>
      <c r="E6" s="67">
        <f>B6*12</f>
        <v>60</v>
      </c>
      <c r="F6" s="101">
        <f>referencias!G20</f>
        <v>62.417999999999999</v>
      </c>
      <c r="G6" s="68">
        <f>(D6*E6)*F6</f>
        <v>1591659</v>
      </c>
      <c r="H6" s="69"/>
    </row>
    <row r="7" spans="1:10" ht="11.25" customHeight="1" x14ac:dyDescent="0.2">
      <c r="A7" s="62"/>
      <c r="B7" s="63"/>
      <c r="C7" s="63"/>
      <c r="D7" s="63"/>
      <c r="E7" s="70" t="s">
        <v>53</v>
      </c>
      <c r="F7" s="70" t="s">
        <v>54</v>
      </c>
      <c r="G7" s="64"/>
      <c r="H7" s="65"/>
    </row>
    <row r="8" spans="1:10" ht="11.25" customHeight="1" x14ac:dyDescent="0.2">
      <c r="A8" s="76" t="s">
        <v>1</v>
      </c>
      <c r="B8" s="1" t="s">
        <v>19</v>
      </c>
      <c r="C8" s="1"/>
      <c r="D8" s="1"/>
      <c r="E8" s="100">
        <f>referencias!G12</f>
        <v>72.599999999999994</v>
      </c>
      <c r="F8" s="16"/>
      <c r="G8" s="9"/>
      <c r="H8" s="8"/>
    </row>
    <row r="9" spans="1:10" ht="11.25" customHeight="1" x14ac:dyDescent="0.2">
      <c r="A9" s="76" t="s">
        <v>2</v>
      </c>
      <c r="B9" s="1" t="s">
        <v>20</v>
      </c>
      <c r="C9" s="1"/>
      <c r="D9" s="1"/>
      <c r="E9" s="100">
        <f>referencias!G13</f>
        <v>90.75</v>
      </c>
      <c r="F9" s="16"/>
      <c r="G9" s="9"/>
      <c r="H9" s="8"/>
    </row>
    <row r="10" spans="1:10" ht="11.25" customHeight="1" x14ac:dyDescent="0.2">
      <c r="A10" s="58">
        <v>300</v>
      </c>
      <c r="B10" s="1" t="s">
        <v>107</v>
      </c>
      <c r="C10" s="1"/>
      <c r="D10" s="1"/>
      <c r="E10" s="100">
        <f>referencias!G3</f>
        <v>55.5</v>
      </c>
      <c r="F10" s="16"/>
      <c r="G10" s="9"/>
      <c r="H10" s="8"/>
    </row>
    <row r="11" spans="1:10" ht="11.25" customHeight="1" x14ac:dyDescent="0.2">
      <c r="A11" s="10"/>
      <c r="B11" s="1" t="s">
        <v>119</v>
      </c>
      <c r="C11" s="1"/>
      <c r="D11" s="1"/>
      <c r="E11" s="100">
        <f>referencias!G4</f>
        <v>13.285799999999998</v>
      </c>
      <c r="F11" s="16"/>
      <c r="G11" s="9"/>
      <c r="H11" s="8"/>
    </row>
    <row r="12" spans="1:10" ht="11.25" customHeight="1" x14ac:dyDescent="0.2">
      <c r="A12" s="10"/>
      <c r="B12" s="1" t="s">
        <v>21</v>
      </c>
      <c r="C12" s="1"/>
      <c r="D12" s="1"/>
      <c r="E12" s="100">
        <f>referencias!G6</f>
        <v>5.0819999999999999</v>
      </c>
      <c r="F12" s="16"/>
      <c r="G12" s="9"/>
      <c r="H12" s="8"/>
    </row>
    <row r="13" spans="1:10" ht="11.25" customHeight="1" x14ac:dyDescent="0.2">
      <c r="A13" s="10"/>
      <c r="B13" s="1" t="s">
        <v>22</v>
      </c>
      <c r="C13" s="1"/>
      <c r="D13" s="1"/>
      <c r="E13" s="100">
        <f>referencias!G7</f>
        <v>217.8</v>
      </c>
      <c r="F13" s="16"/>
      <c r="G13" s="9"/>
      <c r="H13" s="8"/>
      <c r="J13" s="121"/>
    </row>
    <row r="14" spans="1:10" ht="11.25" customHeight="1" x14ac:dyDescent="0.2">
      <c r="A14" s="10"/>
      <c r="B14" s="1" t="s">
        <v>23</v>
      </c>
      <c r="C14" s="1"/>
      <c r="D14" s="1"/>
      <c r="E14" s="100">
        <f>referencias!G5</f>
        <v>9.2927999999999997</v>
      </c>
      <c r="F14" s="16"/>
      <c r="G14" s="9"/>
      <c r="H14" s="8"/>
    </row>
    <row r="15" spans="1:10" ht="11.25" customHeight="1" x14ac:dyDescent="0.2">
      <c r="A15" s="10"/>
      <c r="B15" s="1" t="s">
        <v>24</v>
      </c>
      <c r="C15" s="1"/>
      <c r="D15" s="1"/>
      <c r="E15" s="100">
        <f>referencias!G8</f>
        <v>12.741299999999999</v>
      </c>
      <c r="F15" s="16"/>
      <c r="G15" s="9"/>
      <c r="H15" s="8"/>
    </row>
    <row r="16" spans="1:10" ht="11.25" customHeight="1" x14ac:dyDescent="0.2">
      <c r="A16" s="10"/>
      <c r="B16" s="2" t="s">
        <v>45</v>
      </c>
      <c r="C16" s="2"/>
      <c r="D16" s="2"/>
      <c r="E16" s="99">
        <f>SUM(E8:E15)</f>
        <v>477.05189999999999</v>
      </c>
      <c r="F16" s="16">
        <f>A10</f>
        <v>300</v>
      </c>
      <c r="G16" s="9">
        <f>E16*F16</f>
        <v>143115.57</v>
      </c>
      <c r="H16" s="8"/>
    </row>
    <row r="17" spans="1:8" ht="11.25" customHeight="1" x14ac:dyDescent="0.2">
      <c r="A17" s="10"/>
      <c r="B17" s="1"/>
      <c r="C17" s="1"/>
      <c r="D17" s="1"/>
      <c r="E17" s="16"/>
      <c r="F17" s="16"/>
      <c r="G17" s="9"/>
      <c r="H17" s="8"/>
    </row>
    <row r="18" spans="1:8" ht="11.25" customHeight="1" x14ac:dyDescent="0.2">
      <c r="A18" s="76" t="s">
        <v>16</v>
      </c>
      <c r="B18" s="1" t="s">
        <v>25</v>
      </c>
      <c r="C18" s="1"/>
      <c r="D18" s="1"/>
      <c r="E18" s="100">
        <f>referencias!E14</f>
        <v>689.69999999999993</v>
      </c>
      <c r="F18" s="16"/>
      <c r="G18" s="9"/>
      <c r="H18" s="8"/>
    </row>
    <row r="19" spans="1:8" ht="11.25" customHeight="1" x14ac:dyDescent="0.2">
      <c r="A19" s="76" t="s">
        <v>15</v>
      </c>
      <c r="B19" s="47" t="s">
        <v>42</v>
      </c>
      <c r="C19" s="1"/>
      <c r="D19" s="1"/>
      <c r="E19" s="100">
        <f>E16-E13-E9-E8</f>
        <v>95.901899999999983</v>
      </c>
      <c r="F19" s="16"/>
      <c r="G19" s="9"/>
      <c r="H19" s="8"/>
    </row>
    <row r="20" spans="1:8" ht="11.25" customHeight="1" x14ac:dyDescent="0.2">
      <c r="A20" s="10"/>
      <c r="B20" s="2" t="s">
        <v>108</v>
      </c>
      <c r="C20" s="2"/>
      <c r="D20" s="1"/>
      <c r="E20" s="99">
        <f>E18+E19</f>
        <v>785.60189999999989</v>
      </c>
      <c r="F20" s="61">
        <f>A10*3.3%</f>
        <v>9.9</v>
      </c>
      <c r="G20" s="9">
        <f>E20*10</f>
        <v>7856.0189999999984</v>
      </c>
      <c r="H20" s="8"/>
    </row>
    <row r="21" spans="1:8" ht="11.25" customHeight="1" x14ac:dyDescent="0.2">
      <c r="A21" s="10"/>
      <c r="B21" s="1"/>
      <c r="C21" s="1"/>
      <c r="D21" s="1"/>
      <c r="E21" s="16"/>
      <c r="F21" s="16"/>
      <c r="G21" s="9"/>
      <c r="H21" s="8"/>
    </row>
    <row r="22" spans="1:8" ht="11.25" customHeight="1" x14ac:dyDescent="0.2">
      <c r="A22" s="76" t="s">
        <v>3</v>
      </c>
      <c r="B22" s="1" t="s">
        <v>26</v>
      </c>
      <c r="C22" s="1"/>
      <c r="D22" s="1"/>
      <c r="E22" s="100">
        <f>referencias!I3</f>
        <v>111</v>
      </c>
      <c r="F22" s="16"/>
      <c r="G22" s="9"/>
      <c r="H22" s="8"/>
    </row>
    <row r="23" spans="1:8" ht="11.25" customHeight="1" x14ac:dyDescent="0.2">
      <c r="A23" s="76" t="s">
        <v>4</v>
      </c>
      <c r="B23" s="1" t="s">
        <v>27</v>
      </c>
      <c r="C23" s="1"/>
      <c r="D23" s="1"/>
      <c r="E23" s="100">
        <f>referencias!I9</f>
        <v>6.5339999999999998</v>
      </c>
      <c r="F23" s="16"/>
      <c r="G23" s="9"/>
      <c r="H23" s="8"/>
    </row>
    <row r="24" spans="1:8" ht="11.25" customHeight="1" x14ac:dyDescent="0.2">
      <c r="A24" s="57" t="s">
        <v>48</v>
      </c>
      <c r="B24" s="1" t="s">
        <v>23</v>
      </c>
      <c r="C24" s="1"/>
      <c r="D24" s="1"/>
      <c r="E24" s="100">
        <f>referencias!I5</f>
        <v>3.4847999999999999</v>
      </c>
      <c r="F24" s="16"/>
      <c r="G24" s="9"/>
      <c r="H24" s="8"/>
    </row>
    <row r="25" spans="1:8" ht="11.25" customHeight="1" x14ac:dyDescent="0.2">
      <c r="A25" s="60">
        <v>0.95</v>
      </c>
      <c r="B25" s="1" t="s">
        <v>109</v>
      </c>
      <c r="C25" s="1"/>
      <c r="D25" s="1"/>
      <c r="E25" s="100">
        <f>referencias!I10</f>
        <v>20.219100000000001</v>
      </c>
      <c r="F25" s="16"/>
      <c r="G25" s="9"/>
      <c r="H25" s="8"/>
    </row>
    <row r="26" spans="1:8" ht="11.25" customHeight="1" x14ac:dyDescent="0.2">
      <c r="A26" s="10"/>
      <c r="B26" s="1" t="s">
        <v>129</v>
      </c>
      <c r="C26" s="1"/>
      <c r="D26" s="1"/>
      <c r="E26" s="100">
        <f>referencias!I11</f>
        <v>15.004</v>
      </c>
      <c r="F26" s="16"/>
      <c r="G26" s="9"/>
      <c r="H26" s="8"/>
    </row>
    <row r="27" spans="1:8" ht="11.25" customHeight="1" x14ac:dyDescent="0.2">
      <c r="A27" s="10"/>
      <c r="B27" s="2" t="s">
        <v>110</v>
      </c>
      <c r="C27" s="1"/>
      <c r="D27" s="1"/>
      <c r="E27" s="99">
        <f>SUM(E22:E26)</f>
        <v>156.24189999999999</v>
      </c>
      <c r="F27" s="16">
        <f>A10*A25</f>
        <v>285</v>
      </c>
      <c r="G27" s="9">
        <f>E27*F27</f>
        <v>44528.941499999994</v>
      </c>
      <c r="H27" s="8"/>
    </row>
    <row r="28" spans="1:8" ht="11.25" customHeight="1" x14ac:dyDescent="0.2">
      <c r="A28" s="10"/>
      <c r="B28" s="1"/>
      <c r="C28" s="1"/>
      <c r="D28" s="1"/>
      <c r="E28" s="1"/>
      <c r="F28" s="1"/>
      <c r="G28" s="9"/>
      <c r="H28" s="8"/>
    </row>
    <row r="29" spans="1:8" ht="11.25" customHeight="1" x14ac:dyDescent="0.2">
      <c r="A29" s="76" t="s">
        <v>29</v>
      </c>
      <c r="B29" s="1" t="s">
        <v>30</v>
      </c>
      <c r="C29" s="1"/>
      <c r="D29" s="1"/>
      <c r="E29" s="49">
        <f>referencias!G27</f>
        <v>19.097999999999999</v>
      </c>
      <c r="F29" s="16">
        <v>12</v>
      </c>
      <c r="G29" s="9">
        <f>E29*F29</f>
        <v>229.17599999999999</v>
      </c>
      <c r="H29" s="8"/>
    </row>
    <row r="30" spans="1:8" ht="11.25" customHeight="1" x14ac:dyDescent="0.2">
      <c r="A30" s="10"/>
      <c r="B30" s="1" t="s">
        <v>28</v>
      </c>
      <c r="C30" s="1"/>
      <c r="D30" s="1"/>
      <c r="E30" s="16">
        <f>E29/2</f>
        <v>9.5489999999999995</v>
      </c>
      <c r="F30" s="16">
        <v>1</v>
      </c>
      <c r="G30" s="9">
        <f>E30*F30</f>
        <v>9.5489999999999995</v>
      </c>
      <c r="H30" s="8"/>
    </row>
    <row r="31" spans="1:8" ht="11.25" customHeight="1" x14ac:dyDescent="0.2">
      <c r="A31" s="10"/>
      <c r="B31" s="1" t="s">
        <v>105</v>
      </c>
      <c r="C31" s="1"/>
      <c r="D31" s="1"/>
      <c r="E31" s="16">
        <f>E29</f>
        <v>19.097999999999999</v>
      </c>
      <c r="F31" s="16">
        <v>1</v>
      </c>
      <c r="G31" s="9">
        <f>E31*F31</f>
        <v>19.097999999999999</v>
      </c>
      <c r="H31" s="8"/>
    </row>
    <row r="32" spans="1:8" ht="11.25" customHeight="1" x14ac:dyDescent="0.2">
      <c r="A32" s="10"/>
      <c r="B32" s="1" t="s">
        <v>106</v>
      </c>
      <c r="C32" s="1"/>
      <c r="D32" s="1"/>
      <c r="E32" s="16">
        <f>(G29+G30+G31)*45%</f>
        <v>116.02034999999999</v>
      </c>
      <c r="F32" s="16">
        <v>1</v>
      </c>
      <c r="G32" s="9">
        <f>E32*F32</f>
        <v>116.02034999999999</v>
      </c>
      <c r="H32" s="8"/>
    </row>
    <row r="33" spans="1:8" ht="11.25" customHeight="1" x14ac:dyDescent="0.2">
      <c r="A33" s="10"/>
      <c r="B33" s="1"/>
      <c r="C33" s="1"/>
      <c r="D33" s="1"/>
      <c r="E33" s="1"/>
      <c r="F33" s="1"/>
      <c r="G33" s="9"/>
      <c r="H33" s="8"/>
    </row>
    <row r="34" spans="1:8" ht="11.25" customHeight="1" x14ac:dyDescent="0.2">
      <c r="A34" s="76" t="s">
        <v>31</v>
      </c>
      <c r="B34" s="1" t="s">
        <v>32</v>
      </c>
      <c r="C34" s="1"/>
      <c r="D34" s="1"/>
      <c r="E34" s="100">
        <f>referencias!E17</f>
        <v>6598.4000000000005</v>
      </c>
      <c r="F34" s="16">
        <v>2</v>
      </c>
      <c r="G34" s="9">
        <f>E34*F34</f>
        <v>13196.800000000001</v>
      </c>
      <c r="H34" s="8"/>
    </row>
    <row r="35" spans="1:8" ht="11.25" customHeight="1" x14ac:dyDescent="0.2">
      <c r="A35" s="10"/>
      <c r="B35" s="1" t="s">
        <v>33</v>
      </c>
      <c r="C35" s="1"/>
      <c r="D35" s="1"/>
      <c r="E35" s="100">
        <f>referencias!E16</f>
        <v>8248</v>
      </c>
      <c r="F35" s="16">
        <v>1</v>
      </c>
      <c r="G35" s="9">
        <f>E35*F35</f>
        <v>8248</v>
      </c>
      <c r="H35" s="8"/>
    </row>
    <row r="36" spans="1:8" ht="11.25" customHeight="1" x14ac:dyDescent="0.2">
      <c r="A36" s="10"/>
      <c r="B36" s="1" t="s">
        <v>111</v>
      </c>
      <c r="C36" s="1"/>
      <c r="D36" s="1"/>
      <c r="E36" s="100">
        <f>referencias!E15</f>
        <v>4965.84</v>
      </c>
      <c r="F36" s="16">
        <v>2</v>
      </c>
      <c r="G36" s="9">
        <f>E36*F36</f>
        <v>9931.68</v>
      </c>
      <c r="H36" s="8"/>
    </row>
    <row r="37" spans="1:8" ht="11.25" customHeight="1" x14ac:dyDescent="0.2">
      <c r="A37" s="10"/>
      <c r="B37" s="1"/>
      <c r="C37" s="1"/>
      <c r="D37" s="1"/>
      <c r="E37" s="16"/>
      <c r="F37" s="16"/>
      <c r="G37" s="9"/>
      <c r="H37" s="8"/>
    </row>
    <row r="38" spans="1:8" ht="11.25" customHeight="1" x14ac:dyDescent="0.2">
      <c r="A38" s="76" t="s">
        <v>34</v>
      </c>
      <c r="B38" s="1" t="s">
        <v>35</v>
      </c>
      <c r="C38" s="1"/>
      <c r="D38" s="1"/>
      <c r="E38" s="100">
        <f>referencias!E18</f>
        <v>1237.2</v>
      </c>
      <c r="F38" s="16">
        <v>52</v>
      </c>
      <c r="G38" s="9">
        <f>E38*F38</f>
        <v>64334.400000000001</v>
      </c>
      <c r="H38" s="8"/>
    </row>
    <row r="39" spans="1:8" ht="11.25" customHeight="1" x14ac:dyDescent="0.2">
      <c r="A39" s="10"/>
      <c r="B39" s="1" t="s">
        <v>41</v>
      </c>
      <c r="C39" s="1"/>
      <c r="D39" s="1"/>
      <c r="E39" s="48">
        <v>700</v>
      </c>
      <c r="F39" s="16">
        <v>12</v>
      </c>
      <c r="G39" s="9">
        <f>E39*F39</f>
        <v>8400</v>
      </c>
      <c r="H39" s="8"/>
    </row>
    <row r="40" spans="1:8" ht="11.25" customHeight="1" x14ac:dyDescent="0.2">
      <c r="A40" s="10"/>
      <c r="B40" s="1"/>
      <c r="C40" s="1"/>
      <c r="D40" s="1"/>
      <c r="E40" s="1"/>
      <c r="F40" s="1"/>
      <c r="G40" s="9"/>
      <c r="H40" s="8"/>
    </row>
    <row r="41" spans="1:8" ht="11.25" customHeight="1" x14ac:dyDescent="0.2">
      <c r="A41" s="76" t="s">
        <v>36</v>
      </c>
      <c r="B41" s="1"/>
      <c r="C41" s="1"/>
      <c r="D41" s="18" t="s">
        <v>112</v>
      </c>
      <c r="E41" s="18" t="s">
        <v>8</v>
      </c>
      <c r="F41" s="18" t="s">
        <v>9</v>
      </c>
      <c r="G41" s="21"/>
      <c r="H41" s="8"/>
    </row>
    <row r="42" spans="1:8" ht="11.25" customHeight="1" x14ac:dyDescent="0.2">
      <c r="A42" s="10"/>
      <c r="B42" s="10" t="s">
        <v>51</v>
      </c>
      <c r="C42" s="1"/>
      <c r="D42" s="16">
        <f>F27</f>
        <v>285</v>
      </c>
      <c r="E42" s="48">
        <v>175</v>
      </c>
      <c r="F42" s="49">
        <f>referencias!G24</f>
        <v>62.69</v>
      </c>
      <c r="G42" s="21"/>
      <c r="H42" s="7">
        <f>(D42*E42)*F42</f>
        <v>3126663.75</v>
      </c>
    </row>
    <row r="43" spans="1:8" ht="11.25" customHeight="1" x14ac:dyDescent="0.2">
      <c r="A43" s="10"/>
      <c r="B43" s="10" t="s">
        <v>49</v>
      </c>
      <c r="C43" s="1"/>
      <c r="D43" s="16">
        <f>A10*15%</f>
        <v>45</v>
      </c>
      <c r="E43" s="48">
        <v>350</v>
      </c>
      <c r="F43" s="49">
        <f>referencias!G21</f>
        <v>36.927</v>
      </c>
      <c r="G43" s="21"/>
      <c r="H43" s="7">
        <f>(D43*E43)*F43</f>
        <v>581600.25</v>
      </c>
    </row>
    <row r="44" spans="1:8" ht="11.25" customHeight="1" x14ac:dyDescent="0.2">
      <c r="A44" s="10"/>
      <c r="B44" s="10" t="s">
        <v>50</v>
      </c>
      <c r="C44" s="1"/>
      <c r="D44" s="61">
        <f>(F20*20)/100</f>
        <v>1.98</v>
      </c>
      <c r="E44" s="48">
        <v>500</v>
      </c>
      <c r="F44" s="49">
        <f>referencias!G22</f>
        <v>38.954999999999998</v>
      </c>
      <c r="G44" s="21"/>
      <c r="H44" s="7">
        <f>(D44*E44)*F44</f>
        <v>38565.449999999997</v>
      </c>
    </row>
    <row r="45" spans="1:8" ht="11.25" customHeight="1" x14ac:dyDescent="0.2">
      <c r="A45" s="76" t="s">
        <v>118</v>
      </c>
      <c r="B45" s="1"/>
      <c r="C45" s="1"/>
      <c r="D45" s="1"/>
      <c r="E45" s="1"/>
      <c r="F45" s="1"/>
      <c r="G45" s="21"/>
      <c r="H45" s="7"/>
    </row>
    <row r="46" spans="1:8" ht="11.25" customHeight="1" x14ac:dyDescent="0.2">
      <c r="A46" s="10"/>
      <c r="B46" s="1" t="s">
        <v>52</v>
      </c>
      <c r="C46" s="1"/>
      <c r="D46" s="16">
        <f>A10*16%</f>
        <v>48</v>
      </c>
      <c r="E46" s="16"/>
      <c r="F46" s="49">
        <f>referencias!G23</f>
        <v>25025.360000000001</v>
      </c>
      <c r="G46" s="9">
        <f>D46*F46</f>
        <v>1201217.28</v>
      </c>
      <c r="H46" s="7"/>
    </row>
    <row r="47" spans="1:8" ht="11.25" customHeight="1" x14ac:dyDescent="0.2">
      <c r="A47" s="10"/>
      <c r="B47" s="1" t="s">
        <v>37</v>
      </c>
      <c r="C47" s="1"/>
      <c r="D47" s="61">
        <f>D44</f>
        <v>1.98</v>
      </c>
      <c r="E47" s="16"/>
      <c r="F47" s="49">
        <f>referencias!G25</f>
        <v>61373</v>
      </c>
      <c r="G47" s="9">
        <f>F47*D47</f>
        <v>121518.54</v>
      </c>
      <c r="H47" s="7"/>
    </row>
    <row r="48" spans="1:8" ht="11.25" customHeight="1" x14ac:dyDescent="0.2">
      <c r="A48" s="76" t="s">
        <v>5</v>
      </c>
      <c r="B48" s="1"/>
      <c r="C48" s="1"/>
      <c r="D48" s="16"/>
      <c r="E48" s="16"/>
      <c r="F48" s="49"/>
      <c r="G48" s="9"/>
      <c r="H48" s="7"/>
    </row>
    <row r="49" spans="1:11" ht="11.25" customHeight="1" x14ac:dyDescent="0.2">
      <c r="B49" s="1" t="s">
        <v>40</v>
      </c>
      <c r="D49" s="61">
        <f>D42+D43+D44</f>
        <v>331.98</v>
      </c>
      <c r="E49" s="16"/>
      <c r="F49" s="49">
        <f>referencias!G29</f>
        <v>33.700000000000003</v>
      </c>
      <c r="G49" s="9">
        <f>D49*F49</f>
        <v>11187.726000000002</v>
      </c>
      <c r="H49" s="9"/>
    </row>
    <row r="50" spans="1:11" ht="11.25" customHeight="1" x14ac:dyDescent="0.2">
      <c r="A50" s="10"/>
      <c r="B50" s="1" t="s">
        <v>113</v>
      </c>
      <c r="D50" s="1"/>
      <c r="E50" s="1"/>
      <c r="F50" s="17">
        <f>H42+H43+G46+G49+H44+G47</f>
        <v>5080752.9960000003</v>
      </c>
      <c r="G50" s="21">
        <f>(F50*3)/100</f>
        <v>152422.58988000001</v>
      </c>
      <c r="H50" s="9"/>
    </row>
    <row r="51" spans="1:11" ht="11.25" customHeight="1" x14ac:dyDescent="0.2">
      <c r="A51" s="10"/>
      <c r="B51" s="1" t="s">
        <v>39</v>
      </c>
      <c r="D51" s="1"/>
      <c r="E51" s="1"/>
      <c r="F51" s="17">
        <f>H42+H43+H44</f>
        <v>3746829.45</v>
      </c>
      <c r="G51" s="21">
        <f>(F51*1)/100</f>
        <v>37468.294500000004</v>
      </c>
      <c r="H51" s="9"/>
    </row>
    <row r="52" spans="1:11" ht="11.25" customHeight="1" x14ac:dyDescent="0.2">
      <c r="A52" s="10"/>
      <c r="B52" s="10" t="s">
        <v>38</v>
      </c>
      <c r="D52" s="1"/>
      <c r="E52" s="1"/>
      <c r="F52" s="17">
        <f>F50</f>
        <v>5080752.9960000003</v>
      </c>
      <c r="G52" s="21">
        <f>(F52*1.2)/100</f>
        <v>60969.035952000006</v>
      </c>
      <c r="H52" s="7"/>
    </row>
    <row r="53" spans="1:11" ht="11.25" customHeight="1" x14ac:dyDescent="0.2">
      <c r="A53" s="10"/>
      <c r="B53" s="1"/>
      <c r="C53" s="1"/>
      <c r="D53" s="1"/>
      <c r="E53" s="1"/>
      <c r="F53" s="1"/>
      <c r="G53" s="21"/>
      <c r="H53" s="9"/>
      <c r="K53" s="22"/>
    </row>
    <row r="54" spans="1:11" ht="11.25" customHeight="1" x14ac:dyDescent="0.2">
      <c r="A54" s="10"/>
      <c r="B54" s="1"/>
      <c r="C54" s="1"/>
      <c r="D54" s="1"/>
      <c r="E54" s="1"/>
      <c r="F54" s="1"/>
      <c r="G54" s="21"/>
      <c r="H54" s="7"/>
    </row>
    <row r="55" spans="1:11" ht="11.25" customHeight="1" x14ac:dyDescent="0.2">
      <c r="A55" s="11"/>
      <c r="B55" s="3"/>
      <c r="C55" s="3"/>
      <c r="D55" s="3"/>
      <c r="E55" s="3"/>
      <c r="F55" s="3"/>
      <c r="G55" s="19">
        <f>SUM(G6:G54)</f>
        <v>3476427.7201819997</v>
      </c>
      <c r="H55" s="20">
        <f>SUM(H6:H54)</f>
        <v>3746829.45</v>
      </c>
      <c r="I55" s="86"/>
    </row>
    <row r="56" spans="1:11" ht="11.25" customHeight="1" x14ac:dyDescent="0.2">
      <c r="A56" s="4" t="s">
        <v>7</v>
      </c>
      <c r="B56" s="46"/>
      <c r="C56" s="5"/>
      <c r="D56" s="5"/>
      <c r="E56" s="5"/>
      <c r="F56" s="5"/>
      <c r="G56" s="6"/>
      <c r="H56" s="27">
        <f>H55-G55</f>
        <v>270401.72981800046</v>
      </c>
      <c r="I56" s="87"/>
    </row>
    <row r="57" spans="1:11" ht="11.25" customHeight="1" x14ac:dyDescent="0.2">
      <c r="A57" s="14" t="s">
        <v>6</v>
      </c>
      <c r="B57" s="2"/>
      <c r="C57" s="2" t="s">
        <v>47</v>
      </c>
      <c r="D57" s="1">
        <f>A10</f>
        <v>300</v>
      </c>
      <c r="E57" s="1">
        <f>F46</f>
        <v>25025.360000000001</v>
      </c>
      <c r="F57" s="1">
        <f>D57*E57</f>
        <v>7507608</v>
      </c>
      <c r="G57" s="1"/>
      <c r="H57" s="12"/>
    </row>
    <row r="58" spans="1:11" ht="11.25" customHeight="1" x14ac:dyDescent="0.2">
      <c r="A58" s="11"/>
      <c r="B58" s="3"/>
      <c r="C58" s="59" t="s">
        <v>46</v>
      </c>
      <c r="D58" s="71">
        <f>F20</f>
        <v>9.9</v>
      </c>
      <c r="E58" s="3">
        <f>F47</f>
        <v>61373</v>
      </c>
      <c r="F58" s="3">
        <f>D58*E58</f>
        <v>607592.70000000007</v>
      </c>
      <c r="G58" s="3"/>
      <c r="H58" s="13"/>
    </row>
    <row r="59" spans="1:11" ht="11.25" customHeight="1" x14ac:dyDescent="0.2">
      <c r="A59" s="82" t="s">
        <v>67</v>
      </c>
      <c r="B59" s="83"/>
      <c r="C59" s="84"/>
      <c r="D59" s="33"/>
      <c r="E59" s="31"/>
      <c r="F59" s="88">
        <f>F57+F58</f>
        <v>8115200.7000000002</v>
      </c>
      <c r="G59" s="32"/>
      <c r="H59" s="110">
        <f>H56</f>
        <v>270401.72981800046</v>
      </c>
    </row>
    <row r="60" spans="1:11" ht="11.25" customHeight="1" x14ac:dyDescent="0.2">
      <c r="A60" s="82" t="s">
        <v>114</v>
      </c>
      <c r="B60" s="83"/>
      <c r="C60" s="83"/>
      <c r="D60" s="34"/>
      <c r="E60" s="23"/>
      <c r="F60" s="23"/>
      <c r="G60" s="23"/>
      <c r="H60" s="111">
        <f>H59/F59</f>
        <v>3.3320399558078764E-2</v>
      </c>
    </row>
    <row r="61" spans="1:11" ht="10.5" customHeight="1" x14ac:dyDescent="0.25">
      <c r="A61" s="30"/>
      <c r="B61" s="30"/>
      <c r="C61" s="30"/>
      <c r="D61" s="45"/>
      <c r="E61" s="23"/>
      <c r="F61" s="23"/>
      <c r="G61" s="23"/>
      <c r="H61" s="24"/>
    </row>
    <row r="62" spans="1:11" ht="12" customHeight="1" x14ac:dyDescent="0.2">
      <c r="A62" s="25" t="s">
        <v>66</v>
      </c>
      <c r="B62" s="25"/>
      <c r="C62" s="35"/>
      <c r="D62" s="37"/>
      <c r="E62" s="40"/>
      <c r="F62" s="40"/>
      <c r="G62" s="40"/>
      <c r="H62" s="89">
        <f>G55-H43-H44</f>
        <v>2856262.0201819995</v>
      </c>
      <c r="J62" s="86"/>
    </row>
    <row r="63" spans="1:11" x14ac:dyDescent="0.2">
      <c r="A63" s="25" t="s">
        <v>65</v>
      </c>
      <c r="B63" s="25"/>
      <c r="C63" s="36"/>
      <c r="D63" s="38"/>
      <c r="E63" s="40"/>
      <c r="F63" s="40"/>
      <c r="G63" s="40"/>
      <c r="H63" s="90">
        <f>D42*E42</f>
        <v>49875</v>
      </c>
    </row>
    <row r="64" spans="1:11" ht="18" customHeight="1" thickBot="1" x14ac:dyDescent="0.3">
      <c r="A64" s="41" t="s">
        <v>18</v>
      </c>
      <c r="B64" s="41"/>
      <c r="C64" s="42"/>
      <c r="D64" s="43"/>
      <c r="E64" s="85"/>
      <c r="F64" s="85"/>
      <c r="G64" s="85"/>
      <c r="H64" s="44">
        <f>H62/H63</f>
        <v>57.268411432220539</v>
      </c>
    </row>
    <row r="65" spans="1:8" s="52" customFormat="1" ht="18" customHeight="1" thickTop="1" thickBot="1" x14ac:dyDescent="0.3">
      <c r="A65" s="50"/>
      <c r="B65" s="50"/>
      <c r="C65" s="50"/>
      <c r="D65" s="50"/>
      <c r="E65" s="91">
        <f>F59</f>
        <v>8115200.7000000002</v>
      </c>
      <c r="F65" s="92">
        <f>H62</f>
        <v>2856262.0201819995</v>
      </c>
      <c r="G65" s="93">
        <f>H63</f>
        <v>49875</v>
      </c>
      <c r="H65" s="51"/>
    </row>
    <row r="66" spans="1:8" ht="16.5" customHeight="1" thickTop="1" thickBot="1" x14ac:dyDescent="0.25">
      <c r="A66" s="30"/>
      <c r="B66" s="30"/>
      <c r="C66" s="30"/>
      <c r="D66" s="39"/>
      <c r="E66" s="80" t="s">
        <v>116</v>
      </c>
      <c r="F66" s="80" t="s">
        <v>117</v>
      </c>
      <c r="G66" s="80"/>
      <c r="H66" s="54" t="s">
        <v>43</v>
      </c>
    </row>
    <row r="67" spans="1:8" ht="15.75" customHeight="1" thickTop="1" thickBot="1" x14ac:dyDescent="0.25">
      <c r="A67" s="126" t="s">
        <v>14</v>
      </c>
      <c r="B67" s="127"/>
      <c r="C67" s="128"/>
      <c r="D67" s="53" t="s">
        <v>17</v>
      </c>
      <c r="E67" s="81" t="s">
        <v>63</v>
      </c>
      <c r="F67" s="81" t="s">
        <v>64</v>
      </c>
      <c r="G67" s="81" t="s">
        <v>13</v>
      </c>
      <c r="H67" s="55" t="s">
        <v>44</v>
      </c>
    </row>
    <row r="68" spans="1:8" ht="22.5" customHeight="1" thickTop="1" thickBot="1" x14ac:dyDescent="0.3">
      <c r="A68" s="129" t="s">
        <v>115</v>
      </c>
      <c r="B68" s="130"/>
      <c r="C68" s="131"/>
      <c r="D68" s="26">
        <v>12</v>
      </c>
      <c r="E68" s="77">
        <f>(F59*D68)/100</f>
        <v>973824.08400000003</v>
      </c>
      <c r="F68" s="78">
        <f>H62</f>
        <v>2856262.0201819995</v>
      </c>
      <c r="G68" s="79">
        <f>H63</f>
        <v>49875</v>
      </c>
      <c r="H68" s="56">
        <f>(E68+F68)/G68</f>
        <v>76.793706349513769</v>
      </c>
    </row>
    <row r="69" spans="1:8" ht="19.5" customHeight="1" thickTop="1" x14ac:dyDescent="0.2">
      <c r="A69" s="28"/>
      <c r="B69" s="28"/>
      <c r="C69" s="28"/>
      <c r="D69" s="28"/>
      <c r="E69" s="28"/>
      <c r="F69" s="29"/>
      <c r="G69" s="28"/>
      <c r="H69" s="29"/>
    </row>
  </sheetData>
  <mergeCells count="2">
    <mergeCell ref="A67:C67"/>
    <mergeCell ref="A68:C68"/>
  </mergeCells>
  <phoneticPr fontId="2" type="noConversion"/>
  <pageMargins left="0.16" right="0" top="0.26" bottom="0.37" header="0.16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E21" sqref="E21"/>
    </sheetView>
  </sheetViews>
  <sheetFormatPr baseColWidth="10" defaultRowHeight="12.75" x14ac:dyDescent="0.2"/>
  <cols>
    <col min="1" max="1" width="22" customWidth="1"/>
    <col min="2" max="2" width="27.140625" bestFit="1" customWidth="1"/>
    <col min="4" max="5" width="11.42578125" style="22"/>
    <col min="6" max="6" width="4.140625" customWidth="1"/>
    <col min="8" max="8" width="5.28515625" customWidth="1"/>
    <col min="9" max="9" width="8.42578125" customWidth="1"/>
  </cols>
  <sheetData>
    <row r="1" spans="1:15" x14ac:dyDescent="0.2">
      <c r="F1" s="132"/>
      <c r="G1" s="132"/>
      <c r="H1" s="132"/>
      <c r="I1" s="132"/>
    </row>
    <row r="2" spans="1:15" x14ac:dyDescent="0.2">
      <c r="A2" s="69"/>
      <c r="B2" s="69" t="s">
        <v>82</v>
      </c>
      <c r="C2" s="69" t="s">
        <v>130</v>
      </c>
      <c r="D2" s="94"/>
      <c r="E2" s="94" t="s">
        <v>69</v>
      </c>
      <c r="F2" s="133" t="s">
        <v>79</v>
      </c>
      <c r="G2" s="133"/>
      <c r="H2" s="133" t="s">
        <v>81</v>
      </c>
      <c r="I2" s="133"/>
    </row>
    <row r="3" spans="1:15" x14ac:dyDescent="0.2">
      <c r="A3" s="95" t="s">
        <v>68</v>
      </c>
      <c r="B3" s="95"/>
      <c r="C3" s="95"/>
      <c r="D3" s="112">
        <v>55.5</v>
      </c>
      <c r="E3" s="96"/>
      <c r="F3" s="95">
        <v>1</v>
      </c>
      <c r="G3" s="96">
        <f>F3*D3</f>
        <v>55.5</v>
      </c>
      <c r="H3" s="95">
        <v>2</v>
      </c>
      <c r="I3" s="96">
        <f>H3*D3</f>
        <v>111</v>
      </c>
    </row>
    <row r="4" spans="1:15" x14ac:dyDescent="0.2">
      <c r="A4" s="8" t="s">
        <v>119</v>
      </c>
      <c r="B4" s="8" t="s">
        <v>83</v>
      </c>
      <c r="C4" s="8">
        <v>500</v>
      </c>
      <c r="D4" s="113">
        <v>549</v>
      </c>
      <c r="E4" s="7">
        <f>D4*1.21</f>
        <v>664.29</v>
      </c>
      <c r="F4" s="8">
        <v>1</v>
      </c>
      <c r="G4" s="7">
        <f>F4*E4/C4*10</f>
        <v>13.285799999999998</v>
      </c>
      <c r="H4" s="8"/>
      <c r="I4" s="8"/>
    </row>
    <row r="5" spans="1:15" x14ac:dyDescent="0.2">
      <c r="A5" s="8" t="s">
        <v>80</v>
      </c>
      <c r="B5" s="8" t="s">
        <v>70</v>
      </c>
      <c r="C5" s="8">
        <v>250</v>
      </c>
      <c r="D5" s="113">
        <v>240</v>
      </c>
      <c r="E5" s="7">
        <f t="shared" ref="E5:E15" si="0">D5*1.21</f>
        <v>290.39999999999998</v>
      </c>
      <c r="F5" s="8">
        <v>2</v>
      </c>
      <c r="G5" s="7">
        <f>F5*E5/C5*4</f>
        <v>9.2927999999999997</v>
      </c>
      <c r="H5" s="97">
        <v>1</v>
      </c>
      <c r="I5" s="7">
        <f>H5*E5/C5*3</f>
        <v>3.4847999999999999</v>
      </c>
    </row>
    <row r="6" spans="1:15" x14ac:dyDescent="0.2">
      <c r="A6" s="8" t="s">
        <v>71</v>
      </c>
      <c r="B6" s="8" t="s">
        <v>72</v>
      </c>
      <c r="C6" s="8">
        <v>250</v>
      </c>
      <c r="D6" s="113">
        <v>350</v>
      </c>
      <c r="E6" s="7">
        <f t="shared" si="0"/>
        <v>423.5</v>
      </c>
      <c r="F6" s="8">
        <v>1</v>
      </c>
      <c r="G6" s="7">
        <f>F6*E6/C6*3</f>
        <v>5.0819999999999999</v>
      </c>
      <c r="H6" s="8"/>
      <c r="I6" s="7"/>
    </row>
    <row r="7" spans="1:15" x14ac:dyDescent="0.2">
      <c r="A7" s="8" t="s">
        <v>73</v>
      </c>
      <c r="B7" s="8" t="s">
        <v>104</v>
      </c>
      <c r="C7" s="8">
        <v>50</v>
      </c>
      <c r="D7" s="113">
        <v>1800</v>
      </c>
      <c r="E7" s="7">
        <f t="shared" si="0"/>
        <v>2178</v>
      </c>
      <c r="F7" s="8">
        <v>1</v>
      </c>
      <c r="G7" s="7">
        <f>F7*E7/C7*5</f>
        <v>217.8</v>
      </c>
      <c r="H7" s="8"/>
      <c r="I7" s="7"/>
    </row>
    <row r="8" spans="1:15" x14ac:dyDescent="0.2">
      <c r="A8" s="8" t="s">
        <v>74</v>
      </c>
      <c r="B8" s="8" t="s">
        <v>127</v>
      </c>
      <c r="C8" s="8">
        <v>5000</v>
      </c>
      <c r="D8" s="113">
        <v>1755</v>
      </c>
      <c r="E8" s="7">
        <f t="shared" si="0"/>
        <v>2123.5499999999997</v>
      </c>
      <c r="F8" s="8">
        <v>3</v>
      </c>
      <c r="G8" s="7">
        <f>F8*E8/C8*10</f>
        <v>12.741299999999999</v>
      </c>
      <c r="H8" s="8"/>
      <c r="I8" s="7"/>
    </row>
    <row r="9" spans="1:15" x14ac:dyDescent="0.2">
      <c r="A9" s="8" t="s">
        <v>133</v>
      </c>
      <c r="B9" s="8" t="s">
        <v>75</v>
      </c>
      <c r="C9" s="8">
        <v>250</v>
      </c>
      <c r="D9" s="113">
        <v>270</v>
      </c>
      <c r="E9" s="7">
        <f t="shared" si="0"/>
        <v>326.7</v>
      </c>
      <c r="F9" s="8"/>
      <c r="G9" s="8"/>
      <c r="H9" s="8">
        <v>1</v>
      </c>
      <c r="I9" s="7">
        <f>H9*E9/C9*5</f>
        <v>6.5339999999999998</v>
      </c>
    </row>
    <row r="10" spans="1:15" x14ac:dyDescent="0.2">
      <c r="A10" s="8" t="s">
        <v>76</v>
      </c>
      <c r="B10" s="8" t="s">
        <v>77</v>
      </c>
      <c r="C10" s="8">
        <v>500</v>
      </c>
      <c r="D10" s="113">
        <v>2785</v>
      </c>
      <c r="E10" s="7">
        <f t="shared" si="0"/>
        <v>3369.85</v>
      </c>
      <c r="F10" s="8"/>
      <c r="G10" s="8"/>
      <c r="H10" s="8">
        <v>1</v>
      </c>
      <c r="I10" s="7">
        <f>H10*E10/C10*3</f>
        <v>20.219100000000001</v>
      </c>
    </row>
    <row r="11" spans="1:15" x14ac:dyDescent="0.2">
      <c r="A11" s="8" t="s">
        <v>78</v>
      </c>
      <c r="B11" s="8" t="s">
        <v>120</v>
      </c>
      <c r="C11" s="8"/>
      <c r="D11" s="113">
        <v>12.4</v>
      </c>
      <c r="E11" s="7">
        <f t="shared" si="0"/>
        <v>15.004</v>
      </c>
      <c r="F11" s="8"/>
      <c r="G11" s="8"/>
      <c r="H11" s="8">
        <v>1</v>
      </c>
      <c r="I11" s="7">
        <f>H11*E11</f>
        <v>15.004</v>
      </c>
    </row>
    <row r="12" spans="1:15" x14ac:dyDescent="0.2">
      <c r="A12" s="8" t="s">
        <v>99</v>
      </c>
      <c r="B12" s="8"/>
      <c r="C12" s="8"/>
      <c r="D12" s="113">
        <v>60</v>
      </c>
      <c r="E12" s="7">
        <f t="shared" si="0"/>
        <v>72.599999999999994</v>
      </c>
      <c r="F12" s="8">
        <v>1</v>
      </c>
      <c r="G12" s="8">
        <f>E12*F12</f>
        <v>72.599999999999994</v>
      </c>
      <c r="H12" s="8"/>
      <c r="I12" s="7"/>
    </row>
    <row r="13" spans="1:15" x14ac:dyDescent="0.2">
      <c r="A13" s="8" t="s">
        <v>100</v>
      </c>
      <c r="B13" s="8" t="s">
        <v>98</v>
      </c>
      <c r="C13" s="8"/>
      <c r="D13" s="113">
        <v>75</v>
      </c>
      <c r="E13" s="7">
        <f t="shared" si="0"/>
        <v>90.75</v>
      </c>
      <c r="F13" s="8">
        <v>1</v>
      </c>
      <c r="G13" s="8">
        <f>E13*F13</f>
        <v>90.75</v>
      </c>
      <c r="H13" s="8"/>
      <c r="I13" s="7"/>
    </row>
    <row r="14" spans="1:15" x14ac:dyDescent="0.2">
      <c r="A14" s="8" t="s">
        <v>97</v>
      </c>
      <c r="B14" s="8" t="s">
        <v>98</v>
      </c>
      <c r="C14" s="8"/>
      <c r="D14" s="113">
        <v>570</v>
      </c>
      <c r="E14" s="7">
        <f t="shared" si="0"/>
        <v>689.69999999999993</v>
      </c>
      <c r="F14" s="8">
        <v>2</v>
      </c>
      <c r="G14" s="8" t="s">
        <v>103</v>
      </c>
      <c r="H14" s="8"/>
      <c r="I14" s="7"/>
    </row>
    <row r="15" spans="1:15" x14ac:dyDescent="0.2">
      <c r="A15" s="8" t="s">
        <v>88</v>
      </c>
      <c r="B15" s="8" t="s">
        <v>131</v>
      </c>
      <c r="C15" s="8" t="s">
        <v>89</v>
      </c>
      <c r="D15" s="113">
        <v>4104</v>
      </c>
      <c r="E15" s="7">
        <f t="shared" si="0"/>
        <v>4965.84</v>
      </c>
      <c r="F15" s="8"/>
      <c r="G15" s="8"/>
      <c r="H15" s="8"/>
      <c r="I15" s="8"/>
      <c r="O15" t="s">
        <v>103</v>
      </c>
    </row>
    <row r="16" spans="1:15" x14ac:dyDescent="0.2">
      <c r="A16" s="8" t="s">
        <v>90</v>
      </c>
      <c r="B16" s="8" t="s">
        <v>91</v>
      </c>
      <c r="C16" s="8">
        <v>200</v>
      </c>
      <c r="D16" s="114">
        <v>41.24</v>
      </c>
      <c r="E16" s="7">
        <f>D16*C16</f>
        <v>8248</v>
      </c>
      <c r="F16" s="8"/>
      <c r="G16" s="8"/>
      <c r="H16" s="8"/>
      <c r="I16" s="8"/>
    </row>
    <row r="17" spans="1:11" x14ac:dyDescent="0.2">
      <c r="A17" s="8" t="s">
        <v>121</v>
      </c>
      <c r="B17" s="8" t="s">
        <v>92</v>
      </c>
      <c r="C17" s="8">
        <v>160</v>
      </c>
      <c r="D17" s="114">
        <v>41.24</v>
      </c>
      <c r="E17" s="7">
        <f>D17*C17</f>
        <v>6598.4000000000005</v>
      </c>
      <c r="F17" s="8"/>
      <c r="G17" s="8"/>
      <c r="H17" s="8"/>
      <c r="I17" s="8"/>
    </row>
    <row r="18" spans="1:11" x14ac:dyDescent="0.2">
      <c r="A18" s="102" t="s">
        <v>93</v>
      </c>
      <c r="B18" s="102" t="s">
        <v>94</v>
      </c>
      <c r="C18" s="102">
        <v>30</v>
      </c>
      <c r="D18" s="114">
        <v>41.24</v>
      </c>
      <c r="E18" s="103">
        <f>D18*C18</f>
        <v>1237.2</v>
      </c>
      <c r="F18" s="102"/>
      <c r="G18" s="98"/>
      <c r="H18" s="98"/>
      <c r="I18" s="98"/>
    </row>
    <row r="19" spans="1:11" x14ac:dyDescent="0.2">
      <c r="A19" s="104"/>
      <c r="B19" s="105"/>
      <c r="C19" s="105"/>
      <c r="D19" s="106"/>
      <c r="E19" s="106"/>
      <c r="F19" s="12"/>
      <c r="G19" s="95"/>
    </row>
    <row r="20" spans="1:11" x14ac:dyDescent="0.2">
      <c r="A20" s="10" t="s">
        <v>84</v>
      </c>
      <c r="B20" s="1" t="s">
        <v>85</v>
      </c>
      <c r="C20" s="1"/>
      <c r="D20" s="17"/>
      <c r="E20" s="17"/>
      <c r="F20" s="107"/>
      <c r="G20" s="119">
        <v>62.417999999999999</v>
      </c>
      <c r="K20" t="s">
        <v>103</v>
      </c>
    </row>
    <row r="21" spans="1:11" x14ac:dyDescent="0.2">
      <c r="A21" s="10" t="s">
        <v>86</v>
      </c>
      <c r="B21" s="1" t="s">
        <v>101</v>
      </c>
      <c r="C21" s="1"/>
      <c r="D21" s="17"/>
      <c r="E21" s="17"/>
      <c r="F21" s="107"/>
      <c r="G21" s="114">
        <v>36.927</v>
      </c>
    </row>
    <row r="22" spans="1:11" x14ac:dyDescent="0.2">
      <c r="A22" s="10" t="s">
        <v>87</v>
      </c>
      <c r="B22" s="1" t="s">
        <v>102</v>
      </c>
      <c r="C22" s="1"/>
      <c r="D22" s="17"/>
      <c r="E22" s="17"/>
      <c r="F22" s="107"/>
      <c r="G22" s="120">
        <v>38.954999999999998</v>
      </c>
    </row>
    <row r="23" spans="1:11" x14ac:dyDescent="0.2">
      <c r="A23" s="10" t="s">
        <v>125</v>
      </c>
      <c r="B23" s="1" t="s">
        <v>123</v>
      </c>
      <c r="C23" s="1"/>
      <c r="D23" s="17"/>
      <c r="E23" s="17"/>
      <c r="F23" s="107"/>
      <c r="G23" s="120">
        <v>25025.360000000001</v>
      </c>
    </row>
    <row r="24" spans="1:11" x14ac:dyDescent="0.2">
      <c r="A24" s="10" t="s">
        <v>95</v>
      </c>
      <c r="B24" s="1" t="s">
        <v>123</v>
      </c>
      <c r="C24" s="1"/>
      <c r="D24" s="17"/>
      <c r="E24" s="17" t="s">
        <v>124</v>
      </c>
      <c r="F24" s="107"/>
      <c r="G24" s="119">
        <v>62.69</v>
      </c>
    </row>
    <row r="25" spans="1:11" x14ac:dyDescent="0.2">
      <c r="A25" s="10" t="s">
        <v>96</v>
      </c>
      <c r="B25" s="1" t="s">
        <v>123</v>
      </c>
      <c r="C25" s="1"/>
      <c r="D25" s="17"/>
      <c r="E25" s="17"/>
      <c r="F25" s="107"/>
      <c r="G25" s="119">
        <v>61373</v>
      </c>
    </row>
    <row r="26" spans="1:11" x14ac:dyDescent="0.2">
      <c r="A26" s="10"/>
      <c r="B26" s="1"/>
      <c r="C26" s="1"/>
      <c r="D26" s="17"/>
      <c r="E26" s="17"/>
      <c r="F26" s="107"/>
      <c r="G26" s="119"/>
    </row>
    <row r="27" spans="1:11" x14ac:dyDescent="0.2">
      <c r="A27" s="10" t="s">
        <v>128</v>
      </c>
      <c r="B27" s="1"/>
      <c r="C27" s="1"/>
      <c r="D27" s="17"/>
      <c r="E27" s="17"/>
      <c r="F27" s="107"/>
      <c r="G27" s="119">
        <v>19.097999999999999</v>
      </c>
    </row>
    <row r="28" spans="1:11" x14ac:dyDescent="0.2">
      <c r="A28" s="10"/>
      <c r="B28" s="1"/>
      <c r="C28" s="1"/>
      <c r="D28" s="17"/>
      <c r="E28" s="17"/>
      <c r="F28" s="107"/>
      <c r="G28" s="8"/>
    </row>
    <row r="29" spans="1:11" x14ac:dyDescent="0.2">
      <c r="A29" s="108" t="s">
        <v>122</v>
      </c>
      <c r="B29" s="115" t="s">
        <v>132</v>
      </c>
      <c r="C29" s="118">
        <v>16</v>
      </c>
      <c r="D29" s="116" t="s">
        <v>126</v>
      </c>
      <c r="E29" s="118">
        <v>17.7</v>
      </c>
      <c r="F29" s="109"/>
      <c r="G29" s="117">
        <v>33.700000000000003</v>
      </c>
    </row>
  </sheetData>
  <mergeCells count="4">
    <mergeCell ref="F1:G1"/>
    <mergeCell ref="H1:I1"/>
    <mergeCell ref="F2:G2"/>
    <mergeCell ref="H2:I2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referencias</vt:lpstr>
    </vt:vector>
  </TitlesOfParts>
  <Company>Ninguna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RODRIGUEZ</dc:creator>
  <cp:lastModifiedBy>PC</cp:lastModifiedBy>
  <cp:lastPrinted>2019-05-02T13:56:07Z</cp:lastPrinted>
  <dcterms:created xsi:type="dcterms:W3CDTF">2008-04-21T18:52:14Z</dcterms:created>
  <dcterms:modified xsi:type="dcterms:W3CDTF">2019-05-02T15:56:49Z</dcterms:modified>
</cp:coreProperties>
</file>